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600" yWindow="1740" windowWidth="19320" windowHeight="8130" activeTab="1"/>
  </bookViews>
  <sheets>
    <sheet name="Гвардейская,44 2011" sheetId="80" r:id="rId1"/>
    <sheet name="Гвардейская,44 2012" sheetId="81" r:id="rId2"/>
  </sheets>
  <calcPr calcId="124519"/>
</workbook>
</file>

<file path=xl/calcChain.xml><?xml version="1.0" encoding="utf-8"?>
<calcChain xmlns="http://schemas.openxmlformats.org/spreadsheetml/2006/main">
  <c r="F23" i="81"/>
  <c r="F27"/>
  <c r="F31"/>
  <c r="F35"/>
  <c r="F39"/>
  <c r="F46"/>
  <c r="F51"/>
  <c r="B51"/>
  <c r="G51"/>
  <c r="B46"/>
  <c r="B47"/>
  <c r="B48"/>
  <c r="B49"/>
  <c r="B50"/>
  <c r="B45"/>
  <c r="D54" i="80"/>
  <c r="D55"/>
  <c r="D56"/>
  <c r="D57"/>
  <c r="D58"/>
  <c r="D59"/>
  <c r="D60"/>
  <c r="D53"/>
  <c r="D43"/>
  <c r="B15" i="81"/>
  <c r="B16"/>
  <c r="B17"/>
  <c r="B18"/>
  <c r="B19"/>
  <c r="B20"/>
  <c r="B21"/>
  <c r="B22"/>
  <c r="B24"/>
  <c r="B25"/>
  <c r="B26"/>
  <c r="B27"/>
  <c r="B28"/>
  <c r="B29"/>
  <c r="B30"/>
  <c r="B31"/>
  <c r="B32"/>
  <c r="B33"/>
  <c r="B34"/>
  <c r="B35"/>
  <c r="B36"/>
  <c r="B37"/>
  <c r="B38"/>
  <c r="B39"/>
  <c r="B40"/>
  <c r="B14"/>
  <c r="E56"/>
  <c r="E57"/>
  <c r="E58"/>
  <c r="E59"/>
  <c r="E60"/>
  <c r="E61"/>
  <c r="E62"/>
  <c r="E63"/>
  <c r="E64"/>
  <c r="E65"/>
  <c r="E66"/>
  <c r="E67"/>
  <c r="E68"/>
  <c r="E55"/>
  <c r="E45"/>
  <c r="C16"/>
  <c r="C70"/>
  <c r="D65" l="1"/>
  <c r="C65"/>
  <c r="D46"/>
  <c r="D45"/>
  <c r="C58" i="80"/>
  <c r="B58"/>
  <c r="C17"/>
  <c r="C44"/>
  <c r="C43"/>
  <c r="D68" i="81" l="1"/>
  <c r="C68"/>
  <c r="F67"/>
  <c r="F66"/>
  <c r="F65"/>
  <c r="F64"/>
  <c r="F63"/>
  <c r="F62"/>
  <c r="F61"/>
  <c r="F60"/>
  <c r="F59"/>
  <c r="F58"/>
  <c r="F57"/>
  <c r="F56"/>
  <c r="F55"/>
  <c r="E50"/>
  <c r="F50" s="1"/>
  <c r="E49"/>
  <c r="F49" s="1"/>
  <c r="E48"/>
  <c r="F48" s="1"/>
  <c r="E47"/>
  <c r="F47" s="1"/>
  <c r="F45"/>
  <c r="E44"/>
  <c r="F44" s="1"/>
  <c r="E43"/>
  <c r="F43" s="1"/>
  <c r="E42"/>
  <c r="F42" s="1"/>
  <c r="E41"/>
  <c r="F41" s="1"/>
  <c r="D37"/>
  <c r="C37"/>
  <c r="C40" s="1"/>
  <c r="D34"/>
  <c r="D35" s="1"/>
  <c r="C34"/>
  <c r="C35" s="1"/>
  <c r="D33"/>
  <c r="C33"/>
  <c r="D29"/>
  <c r="D30" s="1"/>
  <c r="E30" s="1"/>
  <c r="C29"/>
  <c r="E26"/>
  <c r="F26" s="1"/>
  <c r="D26"/>
  <c r="C26"/>
  <c r="D25"/>
  <c r="D27" s="1"/>
  <c r="C25"/>
  <c r="E22"/>
  <c r="F22" s="1"/>
  <c r="E21"/>
  <c r="F21" s="1"/>
  <c r="E20"/>
  <c r="F20" s="1"/>
  <c r="E19"/>
  <c r="F19" s="1"/>
  <c r="E18"/>
  <c r="F18" s="1"/>
  <c r="D17"/>
  <c r="C17"/>
  <c r="D16"/>
  <c r="C15"/>
  <c r="E14"/>
  <c r="F14" s="1"/>
  <c r="C60" i="80"/>
  <c r="B60"/>
  <c r="E59"/>
  <c r="E58"/>
  <c r="E57"/>
  <c r="E56"/>
  <c r="E55"/>
  <c r="E54"/>
  <c r="D48"/>
  <c r="E48" s="1"/>
  <c r="D47"/>
  <c r="E47" s="1"/>
  <c r="D46"/>
  <c r="E46" s="1"/>
  <c r="D45"/>
  <c r="E45" s="1"/>
  <c r="E44"/>
  <c r="E43"/>
  <c r="E42"/>
  <c r="D42"/>
  <c r="D41"/>
  <c r="E41" s="1"/>
  <c r="C37"/>
  <c r="B37"/>
  <c r="B40" s="1"/>
  <c r="B34"/>
  <c r="B35" s="1"/>
  <c r="C33"/>
  <c r="B33"/>
  <c r="B30"/>
  <c r="B31" s="1"/>
  <c r="C29"/>
  <c r="C30" s="1"/>
  <c r="D30" s="1"/>
  <c r="B29"/>
  <c r="C26"/>
  <c r="D26" s="1"/>
  <c r="E26" s="1"/>
  <c r="B26"/>
  <c r="C25"/>
  <c r="B25"/>
  <c r="D22"/>
  <c r="E22" s="1"/>
  <c r="D21"/>
  <c r="E21" s="1"/>
  <c r="D20"/>
  <c r="E20" s="1"/>
  <c r="E19"/>
  <c r="D19"/>
  <c r="D18"/>
  <c r="E18" s="1"/>
  <c r="B17"/>
  <c r="C16"/>
  <c r="D16" s="1"/>
  <c r="E16" s="1"/>
  <c r="B15"/>
  <c r="D14"/>
  <c r="E14" s="1"/>
  <c r="C38" i="81" l="1"/>
  <c r="C39" s="1"/>
  <c r="D40"/>
  <c r="E40" s="1"/>
  <c r="F40" s="1"/>
  <c r="E25"/>
  <c r="F25" s="1"/>
  <c r="C27"/>
  <c r="E53" i="80"/>
  <c r="E60" s="1"/>
  <c r="C40"/>
  <c r="D40" s="1"/>
  <c r="E40" s="1"/>
  <c r="C27"/>
  <c r="E27" s="1"/>
  <c r="D25"/>
  <c r="E25" s="1"/>
  <c r="B27"/>
  <c r="E16" i="81"/>
  <c r="F16" s="1"/>
  <c r="D15"/>
  <c r="E15" s="1"/>
  <c r="F15" s="1"/>
  <c r="F30"/>
  <c r="F68"/>
  <c r="E17"/>
  <c r="F17" s="1"/>
  <c r="E34"/>
  <c r="F34" s="1"/>
  <c r="D38"/>
  <c r="E38" s="1"/>
  <c r="F38" s="1"/>
  <c r="C30"/>
  <c r="C31" s="1"/>
  <c r="D31"/>
  <c r="E30" i="80"/>
  <c r="C31"/>
  <c r="E31" s="1"/>
  <c r="C34"/>
  <c r="D34" s="1"/>
  <c r="E34" s="1"/>
  <c r="B38"/>
  <c r="B39" s="1"/>
  <c r="C15"/>
  <c r="D15" s="1"/>
  <c r="E15" s="1"/>
  <c r="D17"/>
  <c r="E17" s="1"/>
  <c r="C38"/>
  <c r="D38" s="1"/>
  <c r="E38" s="1"/>
  <c r="D39" i="81" l="1"/>
  <c r="E23"/>
  <c r="E51" s="1"/>
  <c r="C23"/>
  <c r="C51" s="1"/>
  <c r="B23" i="80"/>
  <c r="B49" s="1"/>
  <c r="D23" i="81"/>
  <c r="D23" i="80"/>
  <c r="D49" s="1"/>
  <c r="C35"/>
  <c r="E35" s="1"/>
  <c r="C39"/>
  <c r="E39" s="1"/>
  <c r="E49" s="1"/>
  <c r="D51" i="81" l="1"/>
  <c r="C23" i="80"/>
  <c r="E23" l="1"/>
  <c r="B23" i="81" s="1"/>
  <c r="C49" i="80"/>
</calcChain>
</file>

<file path=xl/sharedStrings.xml><?xml version="1.0" encoding="utf-8"?>
<sst xmlns="http://schemas.openxmlformats.org/spreadsheetml/2006/main" count="123" uniqueCount="71">
  <si>
    <t>Перечень оказываемых услуг</t>
  </si>
  <si>
    <t>Дефицит (-) /остаток (+)</t>
  </si>
  <si>
    <t>ЖИЛИЩНЫЕ УСЛУГИ</t>
  </si>
  <si>
    <t xml:space="preserve"> Управление в т.ч.</t>
  </si>
  <si>
    <t>услуги управляющей компании</t>
  </si>
  <si>
    <t>услуги расчетного центра</t>
  </si>
  <si>
    <t>Уборка, содержание ( санитарно-гигиеническая очистка) помещений общего пользования. а так же земельного участка, входящих в состав общего имущества, в т.ч.</t>
  </si>
  <si>
    <t>уборка и очистка придомовой территории</t>
  </si>
  <si>
    <t>дератизация (дезинсекция) мест общего пользования</t>
  </si>
  <si>
    <t>вывоз ТБО</t>
  </si>
  <si>
    <t>содержание контейнерной площадки</t>
  </si>
  <si>
    <t>Текущий ремонт и техническое обслуживание общего имущества в многоквартирном доме, в т.ч.</t>
  </si>
  <si>
    <t>техническое обслуживание жилого здания</t>
  </si>
  <si>
    <t>техническое обслуживание дымоходов и вентканалов</t>
  </si>
  <si>
    <t>текущий ремонт жилого здания</t>
  </si>
  <si>
    <t xml:space="preserve"> техническое обслуживание санитарно-технических сетей </t>
  </si>
  <si>
    <t xml:space="preserve">текущий ремонт санитарно-технических сетей </t>
  </si>
  <si>
    <t xml:space="preserve"> техническое обслуживание сетей отопления</t>
  </si>
  <si>
    <t xml:space="preserve"> текущий ремонт сетей отопления</t>
  </si>
  <si>
    <t>аварийное обслуживание</t>
  </si>
  <si>
    <t>Найм</t>
  </si>
  <si>
    <t>Капитальный ремонт дома</t>
  </si>
  <si>
    <t xml:space="preserve">Антенна </t>
  </si>
  <si>
    <t xml:space="preserve"> ИТОГО</t>
  </si>
  <si>
    <t>КОММУНАЛЬНЫЕ УСЛУГИ</t>
  </si>
  <si>
    <t>Водоотведение</t>
  </si>
  <si>
    <t>Отопление</t>
  </si>
  <si>
    <t>Электроснабжение</t>
  </si>
  <si>
    <t>ИТОГО по коммунальным услугам</t>
  </si>
  <si>
    <t>Общие сведенья о многоквартирном доме</t>
  </si>
  <si>
    <t>Год постройки</t>
  </si>
  <si>
    <t>Количество этажей</t>
  </si>
  <si>
    <t>Количество квартир</t>
  </si>
  <si>
    <t>Общая площадь жилых помещений помещений</t>
  </si>
  <si>
    <t>уборка и очистка внутридомового МОП</t>
  </si>
  <si>
    <t>Радио</t>
  </si>
  <si>
    <t>ТО узлов Тепло</t>
  </si>
  <si>
    <t>ТО узлов воды</t>
  </si>
  <si>
    <t xml:space="preserve">ЗАДОЛЖЕННОСТЬ НАСЕЛЕНИЯ ПО ЖИЛИЩНО-КОММУНАЛЬНЫМ  УСЛУГАМ НА 01.06.2011г.               </t>
  </si>
  <si>
    <t xml:space="preserve">ЗАДОЛЖЕННОСТЬ НАСЕЛЕНИЯ ПО ЖИЛИЩНО-КОММУНАЛЬНЫМ  УСЛУГАМ НА 01.01.2013г.              </t>
  </si>
  <si>
    <t xml:space="preserve">Израсходовано с 01.01.2012 по 31.12. 2012., руб. </t>
  </si>
  <si>
    <t xml:space="preserve">Начислено с 01.01.2012 по 31.12. 2012., руб. </t>
  </si>
  <si>
    <t xml:space="preserve">Начислено с 01.06.2011 по 31.12. 2011., руб. </t>
  </si>
  <si>
    <t xml:space="preserve">Израсходовано с 01.06.2011 по 31.12. 2011., руб. </t>
  </si>
  <si>
    <t>Начислено с 01.06.2011 по 31.12.2011., руб.</t>
  </si>
  <si>
    <t>Собрано с 1.06.2011 по 31.12.2011., руб.</t>
  </si>
  <si>
    <t>Домофон</t>
  </si>
  <si>
    <t xml:space="preserve">техническое обслуживание сетей электроснабжения </t>
  </si>
  <si>
    <t xml:space="preserve">текущий ремонт сетей электроснабжения </t>
  </si>
  <si>
    <t xml:space="preserve">Собрано с 01.01.2012 по 31.12. 2012, руб. </t>
  </si>
  <si>
    <t>Начислено с 01.01.2012 по 31.12.2012., руб.</t>
  </si>
  <si>
    <t>Собрано с 1.01.2012 по 31.12.2012., руб.</t>
  </si>
  <si>
    <t xml:space="preserve">Израсходовано с 01.01.2012 по 31.12. 2012,  руб. </t>
  </si>
  <si>
    <t>Водоснабжение</t>
  </si>
  <si>
    <t xml:space="preserve">Собрано с 01.06.2011 по 31.12. 2011, руб. </t>
  </si>
  <si>
    <t xml:space="preserve">Израсходовано с 01.06.2011 по 31.12. 2011,  руб. </t>
  </si>
  <si>
    <t>ГВС</t>
  </si>
  <si>
    <t>ХВС для ГВС</t>
  </si>
  <si>
    <t>ТО узлов рег. тепла</t>
  </si>
  <si>
    <t>ТО узлов ГВС</t>
  </si>
  <si>
    <t>ОДН-ГВС</t>
  </si>
  <si>
    <t>ОДН-ХВС</t>
  </si>
  <si>
    <t>ОДН-ХВС для ГВС</t>
  </si>
  <si>
    <t>ОДН-Канализация</t>
  </si>
  <si>
    <t>ОДН-Отопление</t>
  </si>
  <si>
    <t>ОДН-Эл.энергия</t>
  </si>
  <si>
    <t>Освещение МОП</t>
  </si>
  <si>
    <t>Пользование лифтом</t>
  </si>
  <si>
    <t>Финансовый отчет по многоквартирному дому расположенному по адресу:  ул. Гвардейская, д. 44</t>
  </si>
  <si>
    <t>ЗАДОЛЖЕННОСТЬ НАСЕЛЕНИЯ ПО ЖИЛИЩНО-КОММУНАЛЬНЫМ  УСЛУГАМ НА 01.01.2012г.                              183 846.21 руб.</t>
  </si>
  <si>
    <t>ЗАДОЛЖЕННОСТЬ НАСЕЛЕНИЯ ПО ЖИЛИЩНО-КОММУНАЛЬНЫМ  УСЛУГАМ НА 01.01.2013г.                              193 000.68 руб.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</si>
</sst>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0;[Red]0.00"/>
    <numFmt numFmtId="166" formatCode="0.00_ ;[Red]\-0.00\ "/>
    <numFmt numFmtId="167" formatCode="0.00_ ;\-0.00\ "/>
    <numFmt numFmtId="168" formatCode="0.0"/>
  </numFmts>
  <fonts count="13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65" fontId="3" fillId="0" borderId="3" xfId="1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 wrapText="1"/>
    </xf>
    <xf numFmtId="165" fontId="3" fillId="3" borderId="3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168" fontId="11" fillId="3" borderId="3" xfId="0" applyNumberFormat="1" applyFont="1" applyFill="1" applyBorder="1" applyAlignment="1">
      <alignment horizontal="center" vertical="top" wrapText="1"/>
    </xf>
    <xf numFmtId="2" fontId="7" fillId="2" borderId="3" xfId="1" applyNumberFormat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166" fontId="4" fillId="0" borderId="3" xfId="0" applyNumberFormat="1" applyFont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8" xfId="0" applyFont="1" applyBorder="1"/>
    <xf numFmtId="0" fontId="12" fillId="0" borderId="5" xfId="0" applyFont="1" applyBorder="1"/>
    <xf numFmtId="0" fontId="12" fillId="0" borderId="7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0"/>
  <sheetViews>
    <sheetView topLeftCell="A40" workbookViewId="0">
      <selection activeCell="E53" sqref="E53:E60"/>
    </sheetView>
  </sheetViews>
  <sheetFormatPr defaultRowHeight="12.75"/>
  <cols>
    <col min="1" max="1" width="86.83203125" customWidth="1"/>
    <col min="2" max="3" width="23.83203125" customWidth="1"/>
    <col min="4" max="4" width="20.83203125" customWidth="1"/>
    <col min="5" max="5" width="21.1640625" customWidth="1"/>
  </cols>
  <sheetData>
    <row r="3" spans="1:5" ht="18.75">
      <c r="A3" s="60" t="s">
        <v>68</v>
      </c>
      <c r="B3" s="60"/>
      <c r="C3" s="60"/>
      <c r="D3" s="60"/>
      <c r="E3" s="60"/>
    </row>
    <row r="4" spans="1:5" ht="19.5" thickBot="1">
      <c r="A4" s="61" t="s">
        <v>29</v>
      </c>
      <c r="B4" s="61"/>
      <c r="C4" s="35"/>
      <c r="D4" s="35"/>
      <c r="E4" s="35"/>
    </row>
    <row r="5" spans="1:5" ht="19.5" thickBot="1">
      <c r="A5" s="4" t="s">
        <v>30</v>
      </c>
      <c r="B5" s="19">
        <v>1965</v>
      </c>
      <c r="C5" s="35"/>
      <c r="D5" s="35"/>
      <c r="E5" s="35"/>
    </row>
    <row r="6" spans="1:5" ht="19.5" thickBot="1">
      <c r="A6" s="4" t="s">
        <v>31</v>
      </c>
      <c r="B6" s="19">
        <v>5</v>
      </c>
      <c r="C6" s="35"/>
      <c r="D6" s="35"/>
      <c r="E6" s="35"/>
    </row>
    <row r="7" spans="1:5" ht="19.5" thickBot="1">
      <c r="A7" s="4" t="s">
        <v>32</v>
      </c>
      <c r="B7" s="19">
        <v>65</v>
      </c>
      <c r="C7" s="35"/>
      <c r="D7" s="35"/>
      <c r="E7" s="35"/>
    </row>
    <row r="8" spans="1:5" ht="19.5" thickBot="1">
      <c r="A8" s="4" t="s">
        <v>33</v>
      </c>
      <c r="B8" s="29">
        <v>3869.5</v>
      </c>
      <c r="C8" s="3"/>
      <c r="D8" s="3"/>
      <c r="E8" s="3"/>
    </row>
    <row r="9" spans="1:5" ht="16.5" thickBot="1">
      <c r="A9" s="62" t="s">
        <v>38</v>
      </c>
      <c r="B9" s="62"/>
      <c r="C9" s="62"/>
      <c r="D9" s="62"/>
      <c r="E9" s="62"/>
    </row>
    <row r="10" spans="1:5" ht="16.5" thickBot="1">
      <c r="A10" s="62" t="s">
        <v>39</v>
      </c>
      <c r="B10" s="62"/>
      <c r="C10" s="62"/>
      <c r="D10" s="62"/>
      <c r="E10" s="62"/>
    </row>
    <row r="11" spans="1:5" ht="13.5" thickBot="1">
      <c r="A11" s="63" t="s">
        <v>0</v>
      </c>
      <c r="B11" s="64" t="s">
        <v>42</v>
      </c>
      <c r="C11" s="64" t="s">
        <v>54</v>
      </c>
      <c r="D11" s="65" t="s">
        <v>43</v>
      </c>
      <c r="E11" s="66" t="s">
        <v>1</v>
      </c>
    </row>
    <row r="12" spans="1:5" ht="28.5" customHeight="1" thickBot="1">
      <c r="A12" s="63"/>
      <c r="B12" s="64"/>
      <c r="C12" s="64"/>
      <c r="D12" s="65"/>
      <c r="E12" s="67"/>
    </row>
    <row r="13" spans="1:5" ht="13.5" thickBot="1">
      <c r="A13" s="57" t="s">
        <v>2</v>
      </c>
      <c r="B13" s="57"/>
      <c r="C13" s="57"/>
      <c r="D13" s="57"/>
      <c r="E13" s="57"/>
    </row>
    <row r="14" spans="1:5" ht="13.5" thickBot="1">
      <c r="A14" s="5" t="s">
        <v>3</v>
      </c>
      <c r="B14" s="28">
        <v>43025.99</v>
      </c>
      <c r="C14" s="22">
        <v>41651.480000000003</v>
      </c>
      <c r="D14" s="7">
        <f t="shared" ref="D14:D22" si="0">C14</f>
        <v>41651.480000000003</v>
      </c>
      <c r="E14" s="8">
        <f t="shared" ref="E14:E22" si="1">D14-C14</f>
        <v>0</v>
      </c>
    </row>
    <row r="15" spans="1:5" ht="13.5" thickBot="1">
      <c r="A15" s="1" t="s">
        <v>4</v>
      </c>
      <c r="B15" s="26">
        <f>B14-B16</f>
        <v>43025.99</v>
      </c>
      <c r="C15" s="26">
        <f>C14-C16</f>
        <v>41651.480000000003</v>
      </c>
      <c r="D15" s="26">
        <f t="shared" si="0"/>
        <v>41651.480000000003</v>
      </c>
      <c r="E15" s="9">
        <f t="shared" si="1"/>
        <v>0</v>
      </c>
    </row>
    <row r="16" spans="1:5" ht="13.5" thickBot="1">
      <c r="A16" s="1" t="s">
        <v>5</v>
      </c>
      <c r="B16" s="26">
        <v>0</v>
      </c>
      <c r="C16" s="26">
        <f>B16</f>
        <v>0</v>
      </c>
      <c r="D16" s="27">
        <f t="shared" si="0"/>
        <v>0</v>
      </c>
      <c r="E16" s="9">
        <f t="shared" si="1"/>
        <v>0</v>
      </c>
    </row>
    <row r="17" spans="1:5" ht="26.25" thickBot="1">
      <c r="A17" s="5" t="s">
        <v>6</v>
      </c>
      <c r="B17" s="17">
        <f>B18+B19+B20+B21+B22</f>
        <v>121125.41</v>
      </c>
      <c r="C17" s="17">
        <f>C18+C19+C20+C21+C22</f>
        <v>125057.22</v>
      </c>
      <c r="D17" s="7">
        <f t="shared" si="0"/>
        <v>125057.22</v>
      </c>
      <c r="E17" s="8">
        <f t="shared" si="1"/>
        <v>0</v>
      </c>
    </row>
    <row r="18" spans="1:5" ht="13.5" thickBot="1">
      <c r="A18" s="1" t="s">
        <v>7</v>
      </c>
      <c r="B18" s="24">
        <v>46461.31</v>
      </c>
      <c r="C18" s="25">
        <v>48307.25</v>
      </c>
      <c r="D18" s="7">
        <f t="shared" si="0"/>
        <v>48307.25</v>
      </c>
      <c r="E18" s="8">
        <f t="shared" si="1"/>
        <v>0</v>
      </c>
    </row>
    <row r="19" spans="1:5" ht="13.5" thickBot="1">
      <c r="A19" s="1" t="s">
        <v>34</v>
      </c>
      <c r="B19" s="24">
        <v>27117.3</v>
      </c>
      <c r="C19" s="25">
        <v>28946.45</v>
      </c>
      <c r="D19" s="7">
        <f t="shared" si="0"/>
        <v>28946.45</v>
      </c>
      <c r="E19" s="8">
        <f t="shared" si="1"/>
        <v>0</v>
      </c>
    </row>
    <row r="20" spans="1:5" ht="13.5" thickBot="1">
      <c r="A20" s="1" t="s">
        <v>9</v>
      </c>
      <c r="B20" s="24">
        <v>39772.04</v>
      </c>
      <c r="C20" s="34">
        <v>40317.480000000003</v>
      </c>
      <c r="D20" s="7">
        <f t="shared" si="0"/>
        <v>40317.480000000003</v>
      </c>
      <c r="E20" s="8">
        <f t="shared" si="1"/>
        <v>0</v>
      </c>
    </row>
    <row r="21" spans="1:5" ht="13.5" thickBot="1">
      <c r="A21" s="1" t="s">
        <v>10</v>
      </c>
      <c r="B21" s="24">
        <v>5061.7700000000004</v>
      </c>
      <c r="C21" s="25">
        <v>4853.99</v>
      </c>
      <c r="D21" s="7">
        <f t="shared" si="0"/>
        <v>4853.99</v>
      </c>
      <c r="E21" s="8">
        <f t="shared" si="1"/>
        <v>0</v>
      </c>
    </row>
    <row r="22" spans="1:5" ht="13.5" thickBot="1">
      <c r="A22" s="1" t="s">
        <v>8</v>
      </c>
      <c r="B22" s="24">
        <v>2712.99</v>
      </c>
      <c r="C22" s="25">
        <v>2632.05</v>
      </c>
      <c r="D22" s="7">
        <f t="shared" si="0"/>
        <v>2632.05</v>
      </c>
      <c r="E22" s="8">
        <f t="shared" si="1"/>
        <v>0</v>
      </c>
    </row>
    <row r="23" spans="1:5" ht="26.25" thickBot="1">
      <c r="A23" s="5" t="s">
        <v>11</v>
      </c>
      <c r="B23" s="17">
        <f>B25+B26+B27+B30+B31+B34+B35+B38++B39+B40+B41+B42</f>
        <v>119317.8</v>
      </c>
      <c r="C23" s="17">
        <f>C25+C26+C27+C30+C31+C34+C35+C38++C39+C40+C41+C42</f>
        <v>128255.54000000002</v>
      </c>
      <c r="D23" s="7">
        <f>D25+D26+D27+D30+D31+D34+D35+D38+D39+D40+D43+D44</f>
        <v>97237.658239344106</v>
      </c>
      <c r="E23" s="11">
        <f>C23-D23</f>
        <v>31017.881760655917</v>
      </c>
    </row>
    <row r="24" spans="1:5" ht="13.5" thickBot="1">
      <c r="A24" s="5"/>
      <c r="B24" s="20">
        <v>43930.32</v>
      </c>
      <c r="C24" s="20">
        <v>47227.73</v>
      </c>
      <c r="D24" s="7"/>
      <c r="E24" s="8"/>
    </row>
    <row r="25" spans="1:5" ht="13.5" thickBot="1">
      <c r="A25" s="1" t="s">
        <v>12</v>
      </c>
      <c r="B25" s="10">
        <f>B24*50.2%</f>
        <v>22053.020639999999</v>
      </c>
      <c r="C25" s="33">
        <f>C24*50.2%</f>
        <v>23708.320460000003</v>
      </c>
      <c r="D25" s="7">
        <f>C25</f>
        <v>23708.320460000003</v>
      </c>
      <c r="E25" s="8">
        <f>D25-C25</f>
        <v>0</v>
      </c>
    </row>
    <row r="26" spans="1:5" ht="13.5" thickBot="1">
      <c r="A26" s="1" t="s">
        <v>13</v>
      </c>
      <c r="B26" s="10">
        <f>B24*12.34%</f>
        <v>5421.0014879999999</v>
      </c>
      <c r="C26" s="33">
        <f>C24*12.34%</f>
        <v>5827.9018820000001</v>
      </c>
      <c r="D26" s="7">
        <f>C26</f>
        <v>5827.9018820000001</v>
      </c>
      <c r="E26" s="8">
        <f>D26-C26</f>
        <v>0</v>
      </c>
    </row>
    <row r="27" spans="1:5" ht="13.5" thickBot="1">
      <c r="A27" s="1" t="s">
        <v>14</v>
      </c>
      <c r="B27" s="10">
        <f>B24-B25-B26</f>
        <v>16456.297872000003</v>
      </c>
      <c r="C27" s="10">
        <f>C24-C25-C26</f>
        <v>17691.507658000002</v>
      </c>
      <c r="D27" s="7"/>
      <c r="E27" s="11">
        <f>C27-D27</f>
        <v>17691.507658000002</v>
      </c>
    </row>
    <row r="28" spans="1:5" ht="13.5" thickBot="1">
      <c r="A28" s="1"/>
      <c r="B28" s="24">
        <v>35253.75</v>
      </c>
      <c r="C28" s="23">
        <v>38020.26</v>
      </c>
      <c r="D28" s="7"/>
      <c r="E28" s="8"/>
    </row>
    <row r="29" spans="1:5" ht="13.5" thickBot="1">
      <c r="A29" s="1"/>
      <c r="B29" s="16">
        <f>B28*91.28%</f>
        <v>32179.623000000003</v>
      </c>
      <c r="C29" s="15">
        <f>C28*91.28%</f>
        <v>34704.893328000006</v>
      </c>
      <c r="D29" s="7"/>
      <c r="E29" s="8"/>
    </row>
    <row r="30" spans="1:5" ht="13.5" thickBot="1">
      <c r="A30" s="1" t="s">
        <v>15</v>
      </c>
      <c r="B30" s="10">
        <f>B29*58.98%</f>
        <v>18979.541645400001</v>
      </c>
      <c r="C30" s="33">
        <f>C29*58.98%</f>
        <v>20468.946084854404</v>
      </c>
      <c r="D30" s="7">
        <f>C30</f>
        <v>20468.946084854404</v>
      </c>
      <c r="E30" s="8">
        <f>D30-C30</f>
        <v>0</v>
      </c>
    </row>
    <row r="31" spans="1:5" ht="13.5" thickBot="1">
      <c r="A31" s="1" t="s">
        <v>16</v>
      </c>
      <c r="B31" s="10">
        <f>B29-B30</f>
        <v>13200.081354600003</v>
      </c>
      <c r="C31" s="33">
        <f>C29-C30</f>
        <v>14235.947243145602</v>
      </c>
      <c r="D31" s="7">
        <v>0</v>
      </c>
      <c r="E31" s="8">
        <f>C31</f>
        <v>14235.947243145602</v>
      </c>
    </row>
    <row r="32" spans="1:5" ht="13.5" thickBot="1">
      <c r="A32" s="1"/>
      <c r="B32" s="24">
        <v>25309.48</v>
      </c>
      <c r="C32" s="23">
        <v>27743.57</v>
      </c>
      <c r="D32" s="7"/>
      <c r="E32" s="8"/>
    </row>
    <row r="33" spans="1:5" ht="13.5" thickBot="1">
      <c r="A33" s="1"/>
      <c r="B33" s="16">
        <f>B32*88.57%</f>
        <v>22416.606435999998</v>
      </c>
      <c r="C33" s="15">
        <f>C32*88.57%</f>
        <v>24572.479948999997</v>
      </c>
      <c r="D33" s="7"/>
      <c r="E33" s="8"/>
    </row>
    <row r="34" spans="1:5" ht="13.5" thickBot="1">
      <c r="A34" s="1" t="s">
        <v>17</v>
      </c>
      <c r="B34" s="10">
        <f>B33*57.25%</f>
        <v>12833.50718461</v>
      </c>
      <c r="C34" s="33">
        <f>C33*57.25%</f>
        <v>14067.744770802499</v>
      </c>
      <c r="D34" s="7">
        <f>C34</f>
        <v>14067.744770802499</v>
      </c>
      <c r="E34" s="8">
        <f>D34-C34</f>
        <v>0</v>
      </c>
    </row>
    <row r="35" spans="1:5" ht="13.5" thickBot="1">
      <c r="A35" s="1" t="s">
        <v>18</v>
      </c>
      <c r="B35" s="10">
        <f>B33-B34</f>
        <v>9583.0992513899982</v>
      </c>
      <c r="C35" s="33">
        <f>C33-C34</f>
        <v>10504.735178197498</v>
      </c>
      <c r="D35" s="7"/>
      <c r="E35" s="11">
        <f>C35-D35</f>
        <v>10504.735178197498</v>
      </c>
    </row>
    <row r="36" spans="1:5" ht="13.5" thickBot="1">
      <c r="A36" s="1"/>
      <c r="B36" s="24">
        <v>14824.25</v>
      </c>
      <c r="C36" s="23">
        <v>15263.98</v>
      </c>
      <c r="D36" s="7"/>
      <c r="E36" s="8"/>
    </row>
    <row r="37" spans="1:5" ht="13.5" thickBot="1">
      <c r="A37" s="1"/>
      <c r="B37" s="10">
        <f>B36*79.27%</f>
        <v>11751.182975</v>
      </c>
      <c r="C37" s="33">
        <f>C36*79.27%</f>
        <v>12099.756946</v>
      </c>
      <c r="D37" s="7"/>
      <c r="E37" s="8"/>
    </row>
    <row r="38" spans="1:5" ht="13.5" thickBot="1">
      <c r="A38" s="1" t="s">
        <v>47</v>
      </c>
      <c r="B38" s="10">
        <f>B37*52.31%</f>
        <v>6147.0438142225003</v>
      </c>
      <c r="C38" s="36">
        <f>C37*51.32%</f>
        <v>6209.5952646871992</v>
      </c>
      <c r="D38" s="7">
        <f>C38</f>
        <v>6209.5952646871992</v>
      </c>
      <c r="E38" s="8">
        <f>D38-C38</f>
        <v>0</v>
      </c>
    </row>
    <row r="39" spans="1:5" ht="13.5" thickBot="1">
      <c r="A39" s="1" t="s">
        <v>48</v>
      </c>
      <c r="B39" s="10">
        <f>B37-B38</f>
        <v>5604.1391607774995</v>
      </c>
      <c r="C39" s="33">
        <f>C37-C38</f>
        <v>5890.1616813128003</v>
      </c>
      <c r="D39" s="7">
        <v>0</v>
      </c>
      <c r="E39" s="12">
        <f>C39-D39</f>
        <v>5890.1616813128003</v>
      </c>
    </row>
    <row r="40" spans="1:5" ht="13.5" thickBot="1">
      <c r="A40" s="1" t="s">
        <v>19</v>
      </c>
      <c r="B40" s="10">
        <f>(B28-B29)+(B32-B33)+(B36-B37)</f>
        <v>9040.0675889999984</v>
      </c>
      <c r="C40" s="10">
        <f>(C28-C29)+(C32-C33)+(C36-C37)</f>
        <v>9650.6797769999994</v>
      </c>
      <c r="D40" s="7">
        <f>C40</f>
        <v>9650.6797769999994</v>
      </c>
      <c r="E40" s="8">
        <f>D40-C40</f>
        <v>0</v>
      </c>
    </row>
    <row r="41" spans="1:5" ht="13.5" thickBot="1">
      <c r="A41" s="1" t="s">
        <v>36</v>
      </c>
      <c r="B41" s="24">
        <v>0</v>
      </c>
      <c r="C41" s="24">
        <v>0</v>
      </c>
      <c r="D41" s="7">
        <f>C41</f>
        <v>0</v>
      </c>
      <c r="E41" s="8">
        <f>D41-C41</f>
        <v>0</v>
      </c>
    </row>
    <row r="42" spans="1:5" ht="13.5" thickBot="1">
      <c r="A42" s="1" t="s">
        <v>37</v>
      </c>
      <c r="B42" s="24">
        <v>0</v>
      </c>
      <c r="C42" s="24">
        <v>0</v>
      </c>
      <c r="D42" s="7">
        <f>C42</f>
        <v>0</v>
      </c>
      <c r="E42" s="8">
        <f>D42-C42</f>
        <v>0</v>
      </c>
    </row>
    <row r="43" spans="1:5" ht="13.5" thickBot="1">
      <c r="A43" s="5" t="s">
        <v>20</v>
      </c>
      <c r="B43" s="20">
        <v>18669.490000000002</v>
      </c>
      <c r="C43" s="22">
        <f>16887.2+417.27</f>
        <v>17304.47</v>
      </c>
      <c r="D43" s="7">
        <f>C43</f>
        <v>17304.47</v>
      </c>
      <c r="E43" s="11">
        <f>C43-D43</f>
        <v>0</v>
      </c>
    </row>
    <row r="44" spans="1:5" ht="13.5" thickBot="1">
      <c r="A44" s="5" t="s">
        <v>21</v>
      </c>
      <c r="B44" s="20">
        <v>71340.5</v>
      </c>
      <c r="C44" s="21">
        <f>70634.8+1709.68</f>
        <v>72344.479999999996</v>
      </c>
      <c r="D44" s="7">
        <v>0</v>
      </c>
      <c r="E44" s="11">
        <f>C44-D44</f>
        <v>72344.479999999996</v>
      </c>
    </row>
    <row r="45" spans="1:5" ht="13.5" thickBot="1">
      <c r="A45" s="5" t="s">
        <v>22</v>
      </c>
      <c r="B45" s="20">
        <v>7840</v>
      </c>
      <c r="C45" s="22">
        <v>8773.67</v>
      </c>
      <c r="D45" s="7">
        <f>C45</f>
        <v>8773.67</v>
      </c>
      <c r="E45" s="8">
        <f>D45-C45</f>
        <v>0</v>
      </c>
    </row>
    <row r="46" spans="1:5" ht="13.5" thickBot="1">
      <c r="A46" s="5" t="s">
        <v>35</v>
      </c>
      <c r="B46" s="20">
        <v>1176</v>
      </c>
      <c r="C46" s="22">
        <v>1099.71</v>
      </c>
      <c r="D46" s="7">
        <f>C46</f>
        <v>1099.71</v>
      </c>
      <c r="E46" s="8">
        <f>D46-C46</f>
        <v>0</v>
      </c>
    </row>
    <row r="47" spans="1:5" ht="13.5" thickBot="1">
      <c r="A47" s="5" t="s">
        <v>46</v>
      </c>
      <c r="B47" s="20">
        <v>3615</v>
      </c>
      <c r="C47" s="22">
        <v>3827.65</v>
      </c>
      <c r="D47" s="7">
        <f>C47</f>
        <v>3827.65</v>
      </c>
      <c r="E47" s="8">
        <f>D47-C47</f>
        <v>0</v>
      </c>
    </row>
    <row r="48" spans="1:5" ht="13.5" thickBot="1">
      <c r="A48" s="5" t="s">
        <v>67</v>
      </c>
      <c r="B48" s="20">
        <v>0</v>
      </c>
      <c r="C48" s="22">
        <v>0</v>
      </c>
      <c r="D48" s="7">
        <f>C48</f>
        <v>0</v>
      </c>
      <c r="E48" s="8">
        <f>D48-C48</f>
        <v>0</v>
      </c>
    </row>
    <row r="49" spans="1:5" ht="13.5" thickBot="1">
      <c r="A49" s="5" t="s">
        <v>23</v>
      </c>
      <c r="B49" s="6">
        <f>B14+B17+B23+B41+B42+B43+B44+B45+B46+B47+B48</f>
        <v>386110.19</v>
      </c>
      <c r="C49" s="6">
        <f>C14+C17+C23+C43+C44+C45+C46+C47+C48</f>
        <v>398314.22000000009</v>
      </c>
      <c r="D49" s="13">
        <f>D45+D44+D43+D23+D17+D14+D46+D47+D48</f>
        <v>294951.85823934415</v>
      </c>
      <c r="E49" s="11">
        <f>E39+E35+E31+E27</f>
        <v>48322.351760655903</v>
      </c>
    </row>
    <row r="50" spans="1:5" ht="13.5" thickBot="1">
      <c r="A50" s="58"/>
      <c r="B50" s="58"/>
      <c r="C50" s="58"/>
      <c r="D50" s="58"/>
      <c r="E50" s="58"/>
    </row>
    <row r="51" spans="1:5" ht="13.5" thickBot="1">
      <c r="A51" s="59" t="s">
        <v>24</v>
      </c>
      <c r="B51" s="59"/>
      <c r="C51" s="59"/>
      <c r="D51" s="59"/>
      <c r="E51" s="59"/>
    </row>
    <row r="52" spans="1:5" ht="39" thickBot="1">
      <c r="A52" s="36" t="s">
        <v>0</v>
      </c>
      <c r="B52" s="36" t="s">
        <v>44</v>
      </c>
      <c r="C52" s="36" t="s">
        <v>45</v>
      </c>
      <c r="D52" s="37" t="s">
        <v>55</v>
      </c>
      <c r="E52" s="33" t="s">
        <v>1</v>
      </c>
    </row>
    <row r="53" spans="1:5" ht="13.5" thickBot="1">
      <c r="A53" s="1" t="s">
        <v>53</v>
      </c>
      <c r="B53" s="25">
        <v>88658.42</v>
      </c>
      <c r="C53" s="25">
        <v>93346.47</v>
      </c>
      <c r="D53" s="37">
        <f>B53</f>
        <v>88658.42</v>
      </c>
      <c r="E53" s="40">
        <f t="shared" ref="E53:E59" si="2">C53-D53</f>
        <v>4688.0500000000029</v>
      </c>
    </row>
    <row r="54" spans="1:5" ht="13.5" thickBot="1">
      <c r="A54" s="1" t="s">
        <v>56</v>
      </c>
      <c r="B54" s="25">
        <v>0</v>
      </c>
      <c r="C54" s="25">
        <v>0</v>
      </c>
      <c r="D54" s="38">
        <f t="shared" ref="D54:D60" si="3">B54</f>
        <v>0</v>
      </c>
      <c r="E54" s="40">
        <f t="shared" si="2"/>
        <v>0</v>
      </c>
    </row>
    <row r="55" spans="1:5" ht="13.5" thickBot="1">
      <c r="A55" s="1" t="s">
        <v>57</v>
      </c>
      <c r="B55" s="25">
        <v>0</v>
      </c>
      <c r="C55" s="25">
        <v>0</v>
      </c>
      <c r="D55" s="38">
        <f t="shared" si="3"/>
        <v>0</v>
      </c>
      <c r="E55" s="40">
        <f t="shared" si="2"/>
        <v>0</v>
      </c>
    </row>
    <row r="56" spans="1:5" ht="13.5" thickBot="1">
      <c r="A56" s="1" t="s">
        <v>25</v>
      </c>
      <c r="B56" s="23">
        <v>67583.509999999995</v>
      </c>
      <c r="C56" s="25">
        <v>67570.25</v>
      </c>
      <c r="D56" s="38">
        <f t="shared" si="3"/>
        <v>67583.509999999995</v>
      </c>
      <c r="E56" s="40">
        <f t="shared" si="2"/>
        <v>-13.259999999994761</v>
      </c>
    </row>
    <row r="57" spans="1:5" ht="13.5" thickBot="1">
      <c r="A57" s="14" t="s">
        <v>26</v>
      </c>
      <c r="B57" s="24">
        <v>363150.69</v>
      </c>
      <c r="C57" s="25">
        <v>387161.69</v>
      </c>
      <c r="D57" s="38">
        <f t="shared" si="3"/>
        <v>363150.69</v>
      </c>
      <c r="E57" s="40">
        <f t="shared" si="2"/>
        <v>24011</v>
      </c>
    </row>
    <row r="58" spans="1:5" ht="13.5" thickBot="1">
      <c r="A58" s="14" t="s">
        <v>27</v>
      </c>
      <c r="B58" s="24">
        <f>155660.9+919.9</f>
        <v>156580.79999999999</v>
      </c>
      <c r="C58" s="25">
        <f>181185.63+609.27</f>
        <v>181794.9</v>
      </c>
      <c r="D58" s="38">
        <f t="shared" si="3"/>
        <v>156580.79999999999</v>
      </c>
      <c r="E58" s="40">
        <f t="shared" si="2"/>
        <v>25214.100000000006</v>
      </c>
    </row>
    <row r="59" spans="1:5" ht="13.5" thickBot="1">
      <c r="A59" s="14" t="s">
        <v>66</v>
      </c>
      <c r="B59" s="24">
        <v>0</v>
      </c>
      <c r="C59" s="25">
        <v>6655.81</v>
      </c>
      <c r="D59" s="38">
        <f t="shared" si="3"/>
        <v>0</v>
      </c>
      <c r="E59" s="40">
        <f t="shared" si="2"/>
        <v>6655.81</v>
      </c>
    </row>
    <row r="60" spans="1:5" ht="13.5" thickBot="1">
      <c r="A60" s="2" t="s">
        <v>28</v>
      </c>
      <c r="B60" s="17">
        <f>SUM(B53:B59)</f>
        <v>675973.41999999993</v>
      </c>
      <c r="C60" s="18">
        <f>SUM(C53:C59)</f>
        <v>736529.12000000011</v>
      </c>
      <c r="D60" s="38">
        <f t="shared" si="3"/>
        <v>675973.41999999993</v>
      </c>
      <c r="E60" s="41">
        <f>SUM(E53:E59)</f>
        <v>60555.700000000012</v>
      </c>
    </row>
  </sheetData>
  <mergeCells count="12">
    <mergeCell ref="A13:E13"/>
    <mergeCell ref="A50:E50"/>
    <mergeCell ref="A51:E51"/>
    <mergeCell ref="A3:E3"/>
    <mergeCell ref="A4:B4"/>
    <mergeCell ref="A9:E9"/>
    <mergeCell ref="A10:E10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0"/>
  <sheetViews>
    <sheetView tabSelected="1" workbookViewId="0">
      <selection activeCell="A10" sqref="A10:F10"/>
    </sheetView>
  </sheetViews>
  <sheetFormatPr defaultRowHeight="12.75"/>
  <cols>
    <col min="1" max="1" width="52.6640625" customWidth="1"/>
    <col min="2" max="2" width="23.83203125" customWidth="1"/>
    <col min="3" max="3" width="23.6640625" customWidth="1"/>
    <col min="4" max="4" width="23.5" customWidth="1"/>
    <col min="5" max="5" width="22" customWidth="1"/>
    <col min="6" max="6" width="21.83203125" customWidth="1"/>
    <col min="7" max="7" width="9.6640625" bestFit="1" customWidth="1"/>
  </cols>
  <sheetData>
    <row r="3" spans="1:6" ht="18.75">
      <c r="A3" s="60" t="s">
        <v>68</v>
      </c>
      <c r="B3" s="60"/>
      <c r="C3" s="60"/>
      <c r="D3" s="60"/>
      <c r="E3" s="60"/>
      <c r="F3" s="60"/>
    </row>
    <row r="4" spans="1:6" ht="19.5" thickBot="1">
      <c r="A4" s="77" t="s">
        <v>29</v>
      </c>
      <c r="B4" s="77"/>
      <c r="C4" s="77"/>
      <c r="D4" s="35"/>
      <c r="E4" s="35"/>
      <c r="F4" s="35"/>
    </row>
    <row r="5" spans="1:6" ht="19.5" thickBot="1">
      <c r="A5" s="42" t="s">
        <v>30</v>
      </c>
      <c r="B5" s="43"/>
      <c r="C5" s="19">
        <v>1965</v>
      </c>
      <c r="D5" s="35"/>
      <c r="E5" s="35"/>
      <c r="F5" s="35"/>
    </row>
    <row r="6" spans="1:6" ht="19.5" thickBot="1">
      <c r="A6" s="46" t="s">
        <v>31</v>
      </c>
      <c r="B6" s="47"/>
      <c r="C6" s="19">
        <v>5</v>
      </c>
      <c r="D6" s="35"/>
      <c r="E6" s="35"/>
      <c r="F6" s="35"/>
    </row>
    <row r="7" spans="1:6" ht="19.5" thickBot="1">
      <c r="A7" s="44" t="s">
        <v>32</v>
      </c>
      <c r="B7" s="45"/>
      <c r="C7" s="19">
        <v>65</v>
      </c>
      <c r="D7" s="35"/>
      <c r="E7" s="35"/>
      <c r="F7" s="35"/>
    </row>
    <row r="8" spans="1:6" ht="19.5" thickBot="1">
      <c r="A8" s="44" t="s">
        <v>33</v>
      </c>
      <c r="B8" s="45"/>
      <c r="C8" s="29">
        <v>3869.5</v>
      </c>
      <c r="D8" s="3"/>
      <c r="E8" s="3"/>
      <c r="F8" s="3"/>
    </row>
    <row r="9" spans="1:6" ht="16.5" thickBot="1">
      <c r="A9" s="78" t="s">
        <v>69</v>
      </c>
      <c r="B9" s="79"/>
      <c r="C9" s="79"/>
      <c r="D9" s="79"/>
      <c r="E9" s="79"/>
      <c r="F9" s="80"/>
    </row>
    <row r="10" spans="1:6" ht="16.5" thickBot="1">
      <c r="A10" s="78" t="s">
        <v>70</v>
      </c>
      <c r="B10" s="79"/>
      <c r="C10" s="79"/>
      <c r="D10" s="79"/>
      <c r="E10" s="79"/>
      <c r="F10" s="80"/>
    </row>
    <row r="11" spans="1:6">
      <c r="A11" s="81" t="s">
        <v>0</v>
      </c>
      <c r="B11" s="66" t="s">
        <v>1</v>
      </c>
      <c r="C11" s="83" t="s">
        <v>41</v>
      </c>
      <c r="D11" s="83" t="s">
        <v>49</v>
      </c>
      <c r="E11" s="85" t="s">
        <v>40</v>
      </c>
      <c r="F11" s="66" t="s">
        <v>1</v>
      </c>
    </row>
    <row r="12" spans="1:6" ht="40.5" customHeight="1" thickBot="1">
      <c r="A12" s="82"/>
      <c r="B12" s="67"/>
      <c r="C12" s="84"/>
      <c r="D12" s="84"/>
      <c r="E12" s="86"/>
      <c r="F12" s="67"/>
    </row>
    <row r="13" spans="1:6" ht="13.5" thickBot="1">
      <c r="A13" s="68" t="s">
        <v>2</v>
      </c>
      <c r="B13" s="69"/>
      <c r="C13" s="69"/>
      <c r="D13" s="69"/>
      <c r="E13" s="69"/>
      <c r="F13" s="70"/>
    </row>
    <row r="14" spans="1:6" ht="13.5" thickBot="1">
      <c r="A14" s="5" t="s">
        <v>3</v>
      </c>
      <c r="B14" s="7">
        <f>'Гвардейская,44 2011'!E14</f>
        <v>0</v>
      </c>
      <c r="C14" s="28">
        <v>72519.3</v>
      </c>
      <c r="D14" s="22">
        <v>74776.070000000007</v>
      </c>
      <c r="E14" s="7">
        <f t="shared" ref="E14:E22" si="0">D14</f>
        <v>74776.070000000007</v>
      </c>
      <c r="F14" s="8">
        <f t="shared" ref="F14:F22" si="1">E14-D14</f>
        <v>0</v>
      </c>
    </row>
    <row r="15" spans="1:6" ht="13.5" thickBot="1">
      <c r="A15" s="1" t="s">
        <v>4</v>
      </c>
      <c r="B15" s="7">
        <f>'Гвардейская,44 2011'!E15</f>
        <v>0</v>
      </c>
      <c r="C15" s="26">
        <f>C14-C16</f>
        <v>23063.063249999999</v>
      </c>
      <c r="D15" s="26">
        <f>D14-D16</f>
        <v>25319.833250000003</v>
      </c>
      <c r="E15" s="26">
        <f t="shared" si="0"/>
        <v>25319.833250000003</v>
      </c>
      <c r="F15" s="9">
        <f t="shared" si="1"/>
        <v>0</v>
      </c>
    </row>
    <row r="16" spans="1:6" ht="13.5" thickBot="1">
      <c r="A16" s="1" t="s">
        <v>5</v>
      </c>
      <c r="B16" s="7">
        <f>'Гвардейская,44 2011'!E16</f>
        <v>0</v>
      </c>
      <c r="C16" s="26">
        <f>C70*2.5%</f>
        <v>49456.236750000004</v>
      </c>
      <c r="D16" s="26">
        <f>C16</f>
        <v>49456.236750000004</v>
      </c>
      <c r="E16" s="27">
        <f t="shared" si="0"/>
        <v>49456.236750000004</v>
      </c>
      <c r="F16" s="9">
        <f t="shared" si="1"/>
        <v>0</v>
      </c>
    </row>
    <row r="17" spans="1:6" ht="51.75" thickBot="1">
      <c r="A17" s="5" t="s">
        <v>6</v>
      </c>
      <c r="B17" s="7">
        <f>'Гвардейская,44 2011'!E17</f>
        <v>0</v>
      </c>
      <c r="C17" s="17">
        <f>C18+C19+C20+C21+C22</f>
        <v>205528.15</v>
      </c>
      <c r="D17" s="17">
        <f>D18+D19+D20+D21+D22</f>
        <v>208834.57</v>
      </c>
      <c r="E17" s="7">
        <f t="shared" si="0"/>
        <v>208834.57</v>
      </c>
      <c r="F17" s="8">
        <f t="shared" si="1"/>
        <v>0</v>
      </c>
    </row>
    <row r="18" spans="1:6" ht="13.5" thickBot="1">
      <c r="A18" s="1" t="s">
        <v>7</v>
      </c>
      <c r="B18" s="7">
        <f>'Гвардейская,44 2011'!E18</f>
        <v>0</v>
      </c>
      <c r="C18" s="24">
        <v>79647.960000000006</v>
      </c>
      <c r="D18" s="25">
        <v>80192.539999999994</v>
      </c>
      <c r="E18" s="7">
        <f t="shared" si="0"/>
        <v>80192.539999999994</v>
      </c>
      <c r="F18" s="8">
        <f t="shared" si="1"/>
        <v>0</v>
      </c>
    </row>
    <row r="19" spans="1:6" ht="13.5" thickBot="1">
      <c r="A19" s="1" t="s">
        <v>34</v>
      </c>
      <c r="B19" s="7">
        <f>'Гвардейская,44 2011'!E19</f>
        <v>0</v>
      </c>
      <c r="C19" s="24">
        <v>43441.63</v>
      </c>
      <c r="D19" s="25">
        <v>44659.27</v>
      </c>
      <c r="E19" s="7">
        <f t="shared" si="0"/>
        <v>44659.27</v>
      </c>
      <c r="F19" s="8">
        <f t="shared" si="1"/>
        <v>0</v>
      </c>
    </row>
    <row r="20" spans="1:6" ht="13.5" thickBot="1">
      <c r="A20" s="1" t="s">
        <v>9</v>
      </c>
      <c r="B20" s="7">
        <f>'Гвардейская,44 2011'!E20</f>
        <v>0</v>
      </c>
      <c r="C20" s="24">
        <v>69110.399999999994</v>
      </c>
      <c r="D20" s="25">
        <v>69744.600000000006</v>
      </c>
      <c r="E20" s="7">
        <f t="shared" si="0"/>
        <v>69744.600000000006</v>
      </c>
      <c r="F20" s="8">
        <f t="shared" si="1"/>
        <v>0</v>
      </c>
    </row>
    <row r="21" spans="1:6" ht="13.5" thickBot="1">
      <c r="A21" s="1" t="s">
        <v>10</v>
      </c>
      <c r="B21" s="7">
        <f>'Гвардейская,44 2011'!E21</f>
        <v>0</v>
      </c>
      <c r="C21" s="24">
        <v>8677.32</v>
      </c>
      <c r="D21" s="25">
        <v>8716.81</v>
      </c>
      <c r="E21" s="7">
        <f t="shared" si="0"/>
        <v>8716.81</v>
      </c>
      <c r="F21" s="8">
        <f t="shared" si="1"/>
        <v>0</v>
      </c>
    </row>
    <row r="22" spans="1:6" ht="13.5" thickBot="1">
      <c r="A22" s="1" t="s">
        <v>8</v>
      </c>
      <c r="B22" s="7">
        <f>'Гвардейская,44 2011'!E22</f>
        <v>0</v>
      </c>
      <c r="C22" s="24">
        <v>4650.84</v>
      </c>
      <c r="D22" s="34">
        <v>5521.35</v>
      </c>
      <c r="E22" s="7">
        <f t="shared" si="0"/>
        <v>5521.35</v>
      </c>
      <c r="F22" s="8">
        <f t="shared" si="1"/>
        <v>0</v>
      </c>
    </row>
    <row r="23" spans="1:6" ht="26.25" thickBot="1">
      <c r="A23" s="5" t="s">
        <v>11</v>
      </c>
      <c r="B23" s="7">
        <f>'Гвардейская,44 2011'!E23</f>
        <v>31017.881760655917</v>
      </c>
      <c r="C23" s="17">
        <f>C25+C26+C27+C30+C31+C34+C35+C38++C39+C40+C41+C42+C43+C44</f>
        <v>307003.57</v>
      </c>
      <c r="D23" s="17">
        <f>D25+D26+D27+D30+D31+D34+D35+D38++D39+D40+D41+D42+D43+D44</f>
        <v>214537.42</v>
      </c>
      <c r="E23" s="7">
        <f>E25+E26+E27+E30+E31+E34+E35+E38+E39+E40+E45+E46</f>
        <v>162582.14361988939</v>
      </c>
      <c r="F23" s="11">
        <f>B23+D23-E23</f>
        <v>82973.158140766551</v>
      </c>
    </row>
    <row r="24" spans="1:6" ht="13.5" thickBot="1">
      <c r="A24" s="5"/>
      <c r="B24" s="7">
        <f>'Гвардейская,44 2011'!E24</f>
        <v>0</v>
      </c>
      <c r="C24" s="20">
        <v>174451.88</v>
      </c>
      <c r="D24" s="20">
        <v>78229.23</v>
      </c>
      <c r="E24" s="7"/>
      <c r="F24" s="8"/>
    </row>
    <row r="25" spans="1:6" ht="13.5" thickBot="1">
      <c r="A25" s="1" t="s">
        <v>12</v>
      </c>
      <c r="B25" s="7">
        <f>'Гвардейская,44 2011'!E25</f>
        <v>0</v>
      </c>
      <c r="C25" s="10">
        <f>C24*50.2%</f>
        <v>87574.843760000003</v>
      </c>
      <c r="D25" s="33">
        <f>D24*50.2%</f>
        <v>39271.07346</v>
      </c>
      <c r="E25" s="7">
        <f>D25</f>
        <v>39271.07346</v>
      </c>
      <c r="F25" s="8">
        <f>E25-D25</f>
        <v>0</v>
      </c>
    </row>
    <row r="26" spans="1:6" ht="13.5" thickBot="1">
      <c r="A26" s="1" t="s">
        <v>13</v>
      </c>
      <c r="B26" s="7">
        <f>'Гвардейская,44 2011'!E26</f>
        <v>0</v>
      </c>
      <c r="C26" s="10">
        <f>C24*12.34%</f>
        <v>21527.361991999998</v>
      </c>
      <c r="D26" s="33">
        <f>D24*12.34%</f>
        <v>9653.4869819999985</v>
      </c>
      <c r="E26" s="7">
        <f>D26</f>
        <v>9653.4869819999985</v>
      </c>
      <c r="F26" s="8">
        <f>E26-D26</f>
        <v>0</v>
      </c>
    </row>
    <row r="27" spans="1:6" ht="13.5" thickBot="1">
      <c r="A27" s="1" t="s">
        <v>14</v>
      </c>
      <c r="B27" s="7">
        <f>'Гвардейская,44 2011'!E27</f>
        <v>17691.507658000002</v>
      </c>
      <c r="C27" s="10">
        <f>C24-C25-C26</f>
        <v>65349.674248000003</v>
      </c>
      <c r="D27" s="10">
        <f>D24-D25-D26</f>
        <v>29304.669557999998</v>
      </c>
      <c r="E27" s="7">
        <v>0</v>
      </c>
      <c r="F27" s="11">
        <f>B27+D27-E27</f>
        <v>46996.177215999996</v>
      </c>
    </row>
    <row r="28" spans="1:6" ht="13.5" thickBot="1">
      <c r="A28" s="1"/>
      <c r="B28" s="7">
        <f>'Гвардейская,44 2011'!E28</f>
        <v>0</v>
      </c>
      <c r="C28" s="24">
        <v>60435</v>
      </c>
      <c r="D28" s="23">
        <v>62224.22</v>
      </c>
      <c r="E28" s="7"/>
      <c r="F28" s="8"/>
    </row>
    <row r="29" spans="1:6" ht="13.5" thickBot="1">
      <c r="A29" s="1"/>
      <c r="B29" s="7">
        <f>'Гвардейская,44 2011'!E29</f>
        <v>0</v>
      </c>
      <c r="C29" s="16">
        <f>C28*91.28%</f>
        <v>55165.068000000007</v>
      </c>
      <c r="D29" s="15">
        <f>D28*91.28%</f>
        <v>56798.268016000002</v>
      </c>
      <c r="E29" s="7"/>
      <c r="F29" s="8"/>
    </row>
    <row r="30" spans="1:6" ht="26.25" thickBot="1">
      <c r="A30" s="1" t="s">
        <v>15</v>
      </c>
      <c r="B30" s="7">
        <f>'Гвардейская,44 2011'!E30</f>
        <v>0</v>
      </c>
      <c r="C30" s="10">
        <f>C29*58.98%</f>
        <v>32536.357106400003</v>
      </c>
      <c r="D30" s="33">
        <f>D29*58.98%</f>
        <v>33499.618475836804</v>
      </c>
      <c r="E30" s="7">
        <f>D30</f>
        <v>33499.618475836804</v>
      </c>
      <c r="F30" s="8">
        <f>E30-D30</f>
        <v>0</v>
      </c>
    </row>
    <row r="31" spans="1:6" ht="13.5" thickBot="1">
      <c r="A31" s="1" t="s">
        <v>16</v>
      </c>
      <c r="B31" s="7">
        <f>'Гвардейская,44 2011'!E31</f>
        <v>14235.947243145602</v>
      </c>
      <c r="C31" s="10">
        <f>C29-C30</f>
        <v>22628.710893600004</v>
      </c>
      <c r="D31" s="33">
        <f>D29-D30</f>
        <v>23298.649540163198</v>
      </c>
      <c r="E31" s="7">
        <v>0</v>
      </c>
      <c r="F31" s="8">
        <f>B31+D31-E31</f>
        <v>37534.5967833088</v>
      </c>
    </row>
    <row r="32" spans="1:6" ht="13.5" thickBot="1">
      <c r="A32" s="1"/>
      <c r="B32" s="7">
        <f>'Гвардейская,44 2011'!E32</f>
        <v>0</v>
      </c>
      <c r="C32" s="24">
        <v>44446.59</v>
      </c>
      <c r="D32" s="23">
        <v>44067.1</v>
      </c>
      <c r="E32" s="7"/>
      <c r="F32" s="8"/>
    </row>
    <row r="33" spans="1:6" ht="13.5" thickBot="1">
      <c r="A33" s="1"/>
      <c r="B33" s="7">
        <f>'Гвардейская,44 2011'!E33</f>
        <v>0</v>
      </c>
      <c r="C33" s="16">
        <f>C32*88.57%</f>
        <v>39366.344762999994</v>
      </c>
      <c r="D33" s="15">
        <f>D32*88.57%</f>
        <v>39030.230469999995</v>
      </c>
      <c r="E33" s="7"/>
      <c r="F33" s="8"/>
    </row>
    <row r="34" spans="1:6" ht="13.5" thickBot="1">
      <c r="A34" s="1" t="s">
        <v>17</v>
      </c>
      <c r="B34" s="7">
        <f>'Гвардейская,44 2011'!E34</f>
        <v>0</v>
      </c>
      <c r="C34" s="10">
        <f>C33*57.25%</f>
        <v>22537.232376817497</v>
      </c>
      <c r="D34" s="33">
        <f>D33*57.25%</f>
        <v>22344.806944074997</v>
      </c>
      <c r="E34" s="7">
        <f>D34</f>
        <v>22344.806944074997</v>
      </c>
      <c r="F34" s="8">
        <f>E34-D34</f>
        <v>0</v>
      </c>
    </row>
    <row r="35" spans="1:6" ht="13.5" thickBot="1">
      <c r="A35" s="1" t="s">
        <v>18</v>
      </c>
      <c r="B35" s="7">
        <f>'Гвардейская,44 2011'!E35</f>
        <v>10504.735178197498</v>
      </c>
      <c r="C35" s="10">
        <f>C33-C34</f>
        <v>16829.112386182496</v>
      </c>
      <c r="D35" s="33">
        <f>D33-D34</f>
        <v>16685.423525924998</v>
      </c>
      <c r="E35" s="7">
        <v>0</v>
      </c>
      <c r="F35" s="11">
        <f>B35+D35-E35</f>
        <v>27190.158704122496</v>
      </c>
    </row>
    <row r="36" spans="1:6" ht="13.5" thickBot="1">
      <c r="A36" s="1"/>
      <c r="B36" s="7">
        <f>'Гвардейская,44 2011'!E36</f>
        <v>0</v>
      </c>
      <c r="C36" s="24">
        <v>25413</v>
      </c>
      <c r="D36" s="23">
        <v>25593.84</v>
      </c>
      <c r="E36" s="7"/>
      <c r="F36" s="8"/>
    </row>
    <row r="37" spans="1:6" ht="13.5" thickBot="1">
      <c r="A37" s="1"/>
      <c r="B37" s="7">
        <f>'Гвардейская,44 2011'!E37</f>
        <v>0</v>
      </c>
      <c r="C37" s="10">
        <f>C36*79.27%</f>
        <v>20144.8851</v>
      </c>
      <c r="D37" s="33">
        <f>D36*79.27%</f>
        <v>20288.236967999997</v>
      </c>
      <c r="E37" s="7"/>
      <c r="F37" s="8"/>
    </row>
    <row r="38" spans="1:6" ht="13.5" thickBot="1">
      <c r="A38" s="1" t="s">
        <v>47</v>
      </c>
      <c r="B38" s="7">
        <f>'Гвардейская,44 2011'!E38</f>
        <v>0</v>
      </c>
      <c r="C38" s="10">
        <f>C37*52.31%</f>
        <v>10537.789395809999</v>
      </c>
      <c r="D38" s="36">
        <f>D37*51.32%</f>
        <v>10411.923211977599</v>
      </c>
      <c r="E38" s="7">
        <f>D38</f>
        <v>10411.923211977599</v>
      </c>
      <c r="F38" s="8">
        <f>E38-D38</f>
        <v>0</v>
      </c>
    </row>
    <row r="39" spans="1:6" ht="13.5" thickBot="1">
      <c r="A39" s="1" t="s">
        <v>48</v>
      </c>
      <c r="B39" s="7">
        <f>'Гвардейская,44 2011'!E39</f>
        <v>5890.1616813128003</v>
      </c>
      <c r="C39" s="10">
        <f>C37-C38</f>
        <v>9607.0957041900001</v>
      </c>
      <c r="D39" s="33">
        <f>D37-D38</f>
        <v>9876.3137560223986</v>
      </c>
      <c r="E39" s="7">
        <v>0</v>
      </c>
      <c r="F39" s="12">
        <f>B39+D39-E39</f>
        <v>15766.475437335199</v>
      </c>
    </row>
    <row r="40" spans="1:6" ht="13.5" thickBot="1">
      <c r="A40" s="1" t="s">
        <v>19</v>
      </c>
      <c r="B40" s="7">
        <f>'Гвардейская,44 2011'!E40</f>
        <v>0</v>
      </c>
      <c r="C40" s="10">
        <f>(C28-C29)+(C32-C33)+(C36-C37)</f>
        <v>15618.292136999997</v>
      </c>
      <c r="D40" s="10">
        <f>(D28-D29)+(D32-D33)+(D36-D37)</f>
        <v>15768.424546000006</v>
      </c>
      <c r="E40" s="7">
        <f t="shared" ref="E40:E45" si="2">D40</f>
        <v>15768.424546000006</v>
      </c>
      <c r="F40" s="8">
        <f>E40-D40</f>
        <v>0</v>
      </c>
    </row>
    <row r="41" spans="1:6" ht="13.5" thickBot="1">
      <c r="A41" s="1" t="s">
        <v>36</v>
      </c>
      <c r="B41" s="38">
        <v>0</v>
      </c>
      <c r="C41" s="24">
        <v>2257.1</v>
      </c>
      <c r="D41" s="24">
        <v>3875.2</v>
      </c>
      <c r="E41" s="7">
        <f t="shared" si="2"/>
        <v>3875.2</v>
      </c>
      <c r="F41" s="8">
        <f>E41-D41</f>
        <v>0</v>
      </c>
    </row>
    <row r="42" spans="1:6" ht="13.5" thickBot="1">
      <c r="A42" s="1" t="s">
        <v>37</v>
      </c>
      <c r="B42" s="38">
        <v>0</v>
      </c>
      <c r="C42" s="24">
        <v>0</v>
      </c>
      <c r="D42" s="24">
        <v>547.83000000000004</v>
      </c>
      <c r="E42" s="7">
        <f t="shared" si="2"/>
        <v>547.83000000000004</v>
      </c>
      <c r="F42" s="8">
        <f>E42-D42</f>
        <v>0</v>
      </c>
    </row>
    <row r="43" spans="1:6" ht="13.5" thickBot="1">
      <c r="A43" s="1" t="s">
        <v>58</v>
      </c>
      <c r="B43" s="38">
        <v>0</v>
      </c>
      <c r="C43" s="24">
        <v>0</v>
      </c>
      <c r="D43" s="24">
        <v>0</v>
      </c>
      <c r="E43" s="7">
        <f t="shared" si="2"/>
        <v>0</v>
      </c>
      <c r="F43" s="8">
        <f>E43-D43</f>
        <v>0</v>
      </c>
    </row>
    <row r="44" spans="1:6" ht="13.5" thickBot="1">
      <c r="A44" s="1" t="s">
        <v>59</v>
      </c>
      <c r="B44" s="38">
        <v>0</v>
      </c>
      <c r="C44" s="24">
        <v>0</v>
      </c>
      <c r="D44" s="24">
        <v>0</v>
      </c>
      <c r="E44" s="7">
        <f t="shared" si="2"/>
        <v>0</v>
      </c>
      <c r="F44" s="8">
        <f>E44-D44</f>
        <v>0</v>
      </c>
    </row>
    <row r="45" spans="1:6" ht="13.5" thickBot="1">
      <c r="A45" s="5" t="s">
        <v>20</v>
      </c>
      <c r="B45" s="7">
        <f>'Гвардейская,44 2011'!E43</f>
        <v>0</v>
      </c>
      <c r="C45" s="20">
        <v>30333.94</v>
      </c>
      <c r="D45" s="22">
        <f>31399.64+233.17</f>
        <v>31632.809999999998</v>
      </c>
      <c r="E45" s="7">
        <f t="shared" si="2"/>
        <v>31632.809999999998</v>
      </c>
      <c r="F45" s="11">
        <f>D45-E45</f>
        <v>0</v>
      </c>
    </row>
    <row r="46" spans="1:6" ht="13.5" thickBot="1">
      <c r="A46" s="5" t="s">
        <v>21</v>
      </c>
      <c r="B46" s="7">
        <f>'Гвардейская,44 2011'!E44</f>
        <v>72344.479999999996</v>
      </c>
      <c r="C46" s="20">
        <v>124003</v>
      </c>
      <c r="D46" s="22">
        <f>125989.36+2548.52</f>
        <v>128537.88</v>
      </c>
      <c r="E46" s="7">
        <v>0</v>
      </c>
      <c r="F46" s="11">
        <f>B46+D46-E46</f>
        <v>200882.36</v>
      </c>
    </row>
    <row r="47" spans="1:6" ht="13.5" thickBot="1">
      <c r="A47" s="5" t="s">
        <v>22</v>
      </c>
      <c r="B47" s="7">
        <f>'Гвардейская,44 2011'!E45</f>
        <v>0</v>
      </c>
      <c r="C47" s="20">
        <v>13056</v>
      </c>
      <c r="D47" s="22">
        <v>16232.1</v>
      </c>
      <c r="E47" s="7">
        <f>D47</f>
        <v>16232.1</v>
      </c>
      <c r="F47" s="8">
        <f>E47-D47</f>
        <v>0</v>
      </c>
    </row>
    <row r="48" spans="1:6" ht="13.5" thickBot="1">
      <c r="A48" s="5" t="s">
        <v>35</v>
      </c>
      <c r="B48" s="7">
        <f>'Гвардейская,44 2011'!E46</f>
        <v>0</v>
      </c>
      <c r="C48" s="20">
        <v>672</v>
      </c>
      <c r="D48" s="22">
        <v>1315.54</v>
      </c>
      <c r="E48" s="7">
        <f>D48</f>
        <v>1315.54</v>
      </c>
      <c r="F48" s="8">
        <f>E48-D48</f>
        <v>0</v>
      </c>
    </row>
    <row r="49" spans="1:7" ht="13.5" thickBot="1">
      <c r="A49" s="5" t="s">
        <v>46</v>
      </c>
      <c r="B49" s="7">
        <f>'Гвардейская,44 2011'!E47</f>
        <v>0</v>
      </c>
      <c r="C49" s="20">
        <v>6816</v>
      </c>
      <c r="D49" s="22">
        <v>6694.45</v>
      </c>
      <c r="E49" s="7">
        <f>D49</f>
        <v>6694.45</v>
      </c>
      <c r="F49" s="8">
        <f>E49-D49</f>
        <v>0</v>
      </c>
    </row>
    <row r="50" spans="1:7" ht="13.5" thickBot="1">
      <c r="A50" s="5" t="s">
        <v>67</v>
      </c>
      <c r="B50" s="7">
        <f>'Гвардейская,44 2011'!E48</f>
        <v>0</v>
      </c>
      <c r="C50" s="20">
        <v>0</v>
      </c>
      <c r="D50" s="22">
        <v>0</v>
      </c>
      <c r="E50" s="7">
        <f>D50</f>
        <v>0</v>
      </c>
      <c r="F50" s="8">
        <f>E50-D50</f>
        <v>0</v>
      </c>
    </row>
    <row r="51" spans="1:7" ht="13.5" thickBot="1">
      <c r="A51" s="5" t="s">
        <v>23</v>
      </c>
      <c r="B51" s="7">
        <f>B23+B46</f>
        <v>103362.36176065591</v>
      </c>
      <c r="C51" s="6">
        <f>C14+C17+C23+C45+C46+C47+C48+C49+C50</f>
        <v>759931.96</v>
      </c>
      <c r="D51" s="6">
        <f>D14+D17+D23+D45+D46+D47+D48+D49+D50</f>
        <v>682560.84000000008</v>
      </c>
      <c r="E51" s="13">
        <f>E47+E46+E45+E23+E17+E14+E48+E49+E50</f>
        <v>502067.68361988937</v>
      </c>
      <c r="F51" s="11">
        <f>F23+F46</f>
        <v>283855.51814076654</v>
      </c>
      <c r="G51" s="39">
        <f>B51+D51-E51</f>
        <v>283855.5181407666</v>
      </c>
    </row>
    <row r="52" spans="1:7" ht="13.5" thickBot="1">
      <c r="A52" s="71"/>
      <c r="B52" s="72"/>
      <c r="C52" s="72"/>
      <c r="D52" s="72"/>
      <c r="E52" s="72"/>
      <c r="F52" s="73"/>
    </row>
    <row r="53" spans="1:7" ht="13.5" thickBot="1">
      <c r="A53" s="74" t="s">
        <v>24</v>
      </c>
      <c r="B53" s="75"/>
      <c r="C53" s="75"/>
      <c r="D53" s="75"/>
      <c r="E53" s="75"/>
      <c r="F53" s="76"/>
    </row>
    <row r="54" spans="1:7" ht="39" thickBot="1">
      <c r="A54" s="48" t="s">
        <v>0</v>
      </c>
      <c r="B54" s="49"/>
      <c r="C54" s="36" t="s">
        <v>50</v>
      </c>
      <c r="D54" s="36" t="s">
        <v>51</v>
      </c>
      <c r="E54" s="37" t="s">
        <v>52</v>
      </c>
      <c r="F54" s="33" t="s">
        <v>1</v>
      </c>
    </row>
    <row r="55" spans="1:7" ht="15.75" thickBot="1">
      <c r="A55" s="54" t="s">
        <v>53</v>
      </c>
      <c r="B55" s="49"/>
      <c r="C55" s="25">
        <v>163253.57999999999</v>
      </c>
      <c r="D55" s="25">
        <v>153278.17000000001</v>
      </c>
      <c r="E55" s="37">
        <f>C55</f>
        <v>163253.57999999999</v>
      </c>
      <c r="F55" s="40">
        <f t="shared" ref="F55:F67" si="3">D55-E55</f>
        <v>-9975.4099999999744</v>
      </c>
    </row>
    <row r="56" spans="1:7" ht="15.75" thickBot="1">
      <c r="A56" s="54" t="s">
        <v>56</v>
      </c>
      <c r="B56" s="49"/>
      <c r="C56" s="25">
        <v>0</v>
      </c>
      <c r="D56" s="25">
        <v>0</v>
      </c>
      <c r="E56" s="38">
        <f t="shared" ref="E56:E68" si="4">C56</f>
        <v>0</v>
      </c>
      <c r="F56" s="40">
        <f t="shared" si="3"/>
        <v>0</v>
      </c>
    </row>
    <row r="57" spans="1:7" ht="15.75" thickBot="1">
      <c r="A57" s="55" t="s">
        <v>60</v>
      </c>
      <c r="B57" s="56"/>
      <c r="C57" s="25">
        <v>0</v>
      </c>
      <c r="D57" s="25">
        <v>0</v>
      </c>
      <c r="E57" s="38">
        <f t="shared" si="4"/>
        <v>0</v>
      </c>
      <c r="F57" s="40">
        <f t="shared" si="3"/>
        <v>0</v>
      </c>
    </row>
    <row r="58" spans="1:7" ht="15.75" thickBot="1">
      <c r="A58" s="50" t="s">
        <v>61</v>
      </c>
      <c r="B58" s="51"/>
      <c r="C58" s="25">
        <v>105.08</v>
      </c>
      <c r="D58" s="25">
        <v>45.79</v>
      </c>
      <c r="E58" s="38">
        <f t="shared" si="4"/>
        <v>105.08</v>
      </c>
      <c r="F58" s="40">
        <f t="shared" si="3"/>
        <v>-59.29</v>
      </c>
    </row>
    <row r="59" spans="1:7" ht="15.75" thickBot="1">
      <c r="A59" s="54" t="s">
        <v>62</v>
      </c>
      <c r="B59" s="49"/>
      <c r="C59" s="25">
        <v>0</v>
      </c>
      <c r="D59" s="25">
        <v>0</v>
      </c>
      <c r="E59" s="38">
        <f t="shared" si="4"/>
        <v>0</v>
      </c>
      <c r="F59" s="40">
        <f t="shared" si="3"/>
        <v>0</v>
      </c>
    </row>
    <row r="60" spans="1:7" ht="15.75" thickBot="1">
      <c r="A60" s="54" t="s">
        <v>57</v>
      </c>
      <c r="B60" s="49"/>
      <c r="C60" s="25">
        <v>0</v>
      </c>
      <c r="D60" s="25">
        <v>0</v>
      </c>
      <c r="E60" s="38">
        <f t="shared" si="4"/>
        <v>0</v>
      </c>
      <c r="F60" s="40">
        <f t="shared" si="3"/>
        <v>0</v>
      </c>
    </row>
    <row r="61" spans="1:7" ht="15.75" thickBot="1">
      <c r="A61" s="54" t="s">
        <v>25</v>
      </c>
      <c r="B61" s="49"/>
      <c r="C61" s="25">
        <v>125765</v>
      </c>
      <c r="D61" s="25">
        <v>119440.47</v>
      </c>
      <c r="E61" s="38">
        <f t="shared" si="4"/>
        <v>125765</v>
      </c>
      <c r="F61" s="40">
        <f t="shared" si="3"/>
        <v>-6324.5299999999988</v>
      </c>
    </row>
    <row r="62" spans="1:7" ht="15.75" thickBot="1">
      <c r="A62" s="55" t="s">
        <v>63</v>
      </c>
      <c r="B62" s="56"/>
      <c r="C62" s="25">
        <v>82.24</v>
      </c>
      <c r="D62" s="25">
        <v>35.83</v>
      </c>
      <c r="E62" s="38">
        <f t="shared" si="4"/>
        <v>82.24</v>
      </c>
      <c r="F62" s="40">
        <f t="shared" si="3"/>
        <v>-46.41</v>
      </c>
    </row>
    <row r="63" spans="1:7" ht="15.75" thickBot="1">
      <c r="A63" s="52" t="s">
        <v>26</v>
      </c>
      <c r="B63" s="53"/>
      <c r="C63" s="31">
        <v>656080.07999999996</v>
      </c>
      <c r="D63" s="25">
        <v>636979.02</v>
      </c>
      <c r="E63" s="38">
        <f t="shared" si="4"/>
        <v>656080.07999999996</v>
      </c>
      <c r="F63" s="40">
        <f t="shared" si="3"/>
        <v>-19101.059999999939</v>
      </c>
    </row>
    <row r="64" spans="1:7" ht="15.75" thickBot="1">
      <c r="A64" s="52" t="s">
        <v>64</v>
      </c>
      <c r="B64" s="53"/>
      <c r="C64" s="31">
        <v>0</v>
      </c>
      <c r="D64" s="25">
        <v>0</v>
      </c>
      <c r="E64" s="38">
        <f t="shared" si="4"/>
        <v>0</v>
      </c>
      <c r="F64" s="40">
        <f t="shared" si="3"/>
        <v>0</v>
      </c>
    </row>
    <row r="65" spans="1:6" ht="15.75" thickBot="1">
      <c r="A65" s="52" t="s">
        <v>27</v>
      </c>
      <c r="B65" s="53"/>
      <c r="C65" s="31">
        <f>263410.21+1060.84</f>
        <v>264471.05000000005</v>
      </c>
      <c r="D65" s="25">
        <f>246596.81+1302.82</f>
        <v>247899.63</v>
      </c>
      <c r="E65" s="38">
        <f t="shared" si="4"/>
        <v>264471.05000000005</v>
      </c>
      <c r="F65" s="40">
        <f t="shared" si="3"/>
        <v>-16571.420000000042</v>
      </c>
    </row>
    <row r="66" spans="1:6" ht="15.75" thickBot="1">
      <c r="A66" s="52" t="s">
        <v>66</v>
      </c>
      <c r="B66" s="53"/>
      <c r="C66" s="31">
        <v>0</v>
      </c>
      <c r="D66" s="25">
        <v>0</v>
      </c>
      <c r="E66" s="38">
        <f t="shared" si="4"/>
        <v>0</v>
      </c>
      <c r="F66" s="40">
        <f t="shared" si="3"/>
        <v>0</v>
      </c>
    </row>
    <row r="67" spans="1:6" ht="15.75" thickBot="1">
      <c r="A67" s="52" t="s">
        <v>65</v>
      </c>
      <c r="B67" s="53"/>
      <c r="C67" s="31">
        <v>8560.48</v>
      </c>
      <c r="D67" s="25">
        <v>2964.65</v>
      </c>
      <c r="E67" s="38">
        <f t="shared" si="4"/>
        <v>8560.48</v>
      </c>
      <c r="F67" s="40">
        <f t="shared" si="3"/>
        <v>-5595.83</v>
      </c>
    </row>
    <row r="68" spans="1:6" ht="15.75" thickBot="1">
      <c r="A68" s="52" t="s">
        <v>28</v>
      </c>
      <c r="B68" s="53"/>
      <c r="C68" s="32">
        <f>SUM(C55:C67)</f>
        <v>1218317.51</v>
      </c>
      <c r="D68" s="30">
        <f>SUM(D55:D67)</f>
        <v>1160643.56</v>
      </c>
      <c r="E68" s="38">
        <f t="shared" si="4"/>
        <v>1218317.51</v>
      </c>
      <c r="F68" s="41">
        <f>SUM(F55:F67)</f>
        <v>-57673.949999999953</v>
      </c>
    </row>
    <row r="70" spans="1:6">
      <c r="C70" s="39">
        <f>C51+C68</f>
        <v>1978249.47</v>
      </c>
    </row>
  </sheetData>
  <mergeCells count="13">
    <mergeCell ref="A13:F13"/>
    <mergeCell ref="A52:F52"/>
    <mergeCell ref="A53:F53"/>
    <mergeCell ref="A3:F3"/>
    <mergeCell ref="A4:C4"/>
    <mergeCell ref="A9:F9"/>
    <mergeCell ref="A10:F10"/>
    <mergeCell ref="A11:A12"/>
    <mergeCell ref="C11:C12"/>
    <mergeCell ref="D11:D12"/>
    <mergeCell ref="E11:E12"/>
    <mergeCell ref="F11:F12"/>
    <mergeCell ref="B11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Гвардейская,44 2011</vt:lpstr>
      <vt:lpstr>Гвардейская,44 2012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</dc:creator>
  <cp:lastModifiedBy> </cp:lastModifiedBy>
  <cp:lastPrinted>2013-02-15T10:45:02Z</cp:lastPrinted>
  <dcterms:created xsi:type="dcterms:W3CDTF">2013-02-01T04:20:37Z</dcterms:created>
  <dcterms:modified xsi:type="dcterms:W3CDTF">2013-04-09T09:44:45Z</dcterms:modified>
</cp:coreProperties>
</file>